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omastone-my.sharepoint.com/personal/george_sonomastone_com/Documents/"/>
    </mc:Choice>
  </mc:AlternateContent>
  <xr:revisionPtr revIDLastSave="0" documentId="8_{CE306BE6-1518-4FC9-8D6A-5712D720AB0F}" xr6:coauthVersionLast="47" xr6:coauthVersionMax="47" xr10:uidLastSave="{00000000-0000-0000-0000-000000000000}"/>
  <bookViews>
    <workbookView xWindow="28680" yWindow="-120" windowWidth="29040" windowHeight="15840" xr2:uid="{7445A073-5BF5-4D98-82C1-3E4B1238974B}"/>
  </bookViews>
  <sheets>
    <sheet name="Savings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0" i="1"/>
  <c r="D40" i="1"/>
  <c r="D41" i="1" s="1"/>
  <c r="E46" i="1"/>
  <c r="E47" i="1" s="1"/>
  <c r="F28" i="1"/>
  <c r="B57" i="1" s="1"/>
  <c r="E28" i="1"/>
  <c r="E29" i="1" s="1"/>
  <c r="F35" i="1"/>
  <c r="C34" i="1"/>
  <c r="C35" i="1"/>
  <c r="D35" i="1" l="1"/>
  <c r="G35" i="1" s="1"/>
  <c r="H35" i="1" s="1"/>
  <c r="I35" i="1" s="1"/>
  <c r="J35" i="1" s="1"/>
  <c r="D34" i="1"/>
  <c r="G34" i="1" s="1"/>
  <c r="H34" i="1" s="1"/>
  <c r="I34" i="1" s="1"/>
  <c r="J34" i="1" s="1"/>
  <c r="V34" i="1" s="1"/>
  <c r="F40" i="1"/>
  <c r="G40" i="1" s="1"/>
  <c r="V40" i="1" s="1"/>
  <c r="G46" i="1"/>
  <c r="V46" i="1" s="1"/>
  <c r="G29" i="1"/>
  <c r="U29" i="1" s="1"/>
  <c r="F41" i="1"/>
  <c r="G41" i="1" s="1"/>
  <c r="G47" i="1"/>
  <c r="V47" i="1" s="1"/>
  <c r="H46" i="1" l="1"/>
  <c r="I46" i="1" s="1"/>
  <c r="J46" i="1" s="1"/>
  <c r="K46" i="1" s="1"/>
  <c r="L46" i="1" s="1"/>
  <c r="M46" i="1" s="1"/>
  <c r="H40" i="1"/>
  <c r="I40" i="1" s="1"/>
  <c r="J40" i="1" s="1"/>
  <c r="K40" i="1" s="1"/>
  <c r="L40" i="1" s="1"/>
  <c r="P40" i="1" s="1"/>
  <c r="H47" i="1"/>
  <c r="I47" i="1" s="1"/>
  <c r="J47" i="1" s="1"/>
  <c r="K47" i="1" s="1"/>
  <c r="L47" i="1" s="1"/>
  <c r="O47" i="1" s="1"/>
  <c r="K35" i="1"/>
  <c r="L35" i="1" s="1"/>
  <c r="O35" i="1" s="1"/>
  <c r="V35" i="1"/>
  <c r="H41" i="1"/>
  <c r="I41" i="1" s="1"/>
  <c r="J41" i="1" s="1"/>
  <c r="K41" i="1" s="1"/>
  <c r="L41" i="1" s="1"/>
  <c r="O41" i="1" s="1"/>
  <c r="V41" i="1"/>
  <c r="K34" i="1"/>
  <c r="L34" i="1" s="1"/>
  <c r="Q34" i="1" s="1"/>
  <c r="S47" i="1"/>
  <c r="N46" i="1" l="1"/>
  <c r="O46" i="1"/>
  <c r="P46" i="1"/>
  <c r="T46" i="1"/>
  <c r="R46" i="1"/>
  <c r="S46" i="1"/>
  <c r="Q46" i="1"/>
  <c r="N35" i="1"/>
  <c r="M35" i="1"/>
  <c r="T35" i="1"/>
  <c r="S35" i="1"/>
  <c r="Q47" i="1"/>
  <c r="U47" i="1" s="1"/>
  <c r="R47" i="1"/>
  <c r="P47" i="1"/>
  <c r="T47" i="1"/>
  <c r="N47" i="1"/>
  <c r="M47" i="1"/>
  <c r="N40" i="1"/>
  <c r="M40" i="1"/>
  <c r="O40" i="1"/>
  <c r="Q40" i="1"/>
  <c r="T40" i="1"/>
  <c r="S40" i="1"/>
  <c r="R40" i="1"/>
  <c r="P35" i="1"/>
  <c r="Q35" i="1"/>
  <c r="R35" i="1"/>
  <c r="N41" i="1"/>
  <c r="R41" i="1"/>
  <c r="M41" i="1"/>
  <c r="P41" i="1"/>
  <c r="S41" i="1"/>
  <c r="Q41" i="1"/>
  <c r="T41" i="1"/>
  <c r="S34" i="1"/>
  <c r="N34" i="1"/>
  <c r="O34" i="1"/>
  <c r="T34" i="1"/>
  <c r="R34" i="1"/>
  <c r="P34" i="1"/>
  <c r="M34" i="1"/>
  <c r="U46" i="1" l="1"/>
  <c r="U35" i="1"/>
  <c r="B15" i="1"/>
  <c r="U40" i="1"/>
  <c r="U41" i="1"/>
  <c r="U34" i="1"/>
  <c r="U48" i="1"/>
  <c r="G28" i="1"/>
  <c r="C57" i="1"/>
  <c r="D57" i="1" s="1"/>
  <c r="E57" i="1" s="1"/>
  <c r="F57" i="1" s="1"/>
  <c r="U36" i="1" l="1"/>
  <c r="B13" i="1"/>
  <c r="B14" i="1"/>
  <c r="U42" i="1"/>
  <c r="G57" i="1"/>
  <c r="H57" i="1" s="1"/>
  <c r="I57" i="1" s="1"/>
  <c r="J57" i="1" s="1"/>
  <c r="K28" i="1"/>
  <c r="K57" i="1" l="1"/>
  <c r="L57" i="1" s="1"/>
  <c r="M57" i="1" s="1"/>
  <c r="N57" i="1" s="1"/>
  <c r="L28" i="1"/>
  <c r="O57" i="1" l="1"/>
  <c r="P57" i="1" s="1"/>
  <c r="Q57" i="1" s="1"/>
  <c r="R57" i="1" s="1"/>
  <c r="M28" i="1"/>
  <c r="S57" i="1" l="1"/>
  <c r="T57" i="1" s="1"/>
  <c r="U57" i="1" s="1"/>
  <c r="V57" i="1" s="1"/>
  <c r="N28" i="1"/>
  <c r="W57" i="1" l="1"/>
  <c r="X57" i="1" s="1"/>
  <c r="Y57" i="1" s="1"/>
  <c r="Z57" i="1" s="1"/>
  <c r="O28" i="1"/>
  <c r="AA57" i="1" l="1"/>
  <c r="AB57" i="1" s="1"/>
  <c r="AC57" i="1" s="1"/>
  <c r="AD57" i="1" s="1"/>
  <c r="P28" i="1"/>
  <c r="AE57" i="1" l="1"/>
  <c r="AF57" i="1" s="1"/>
  <c r="AG57" i="1" s="1"/>
  <c r="AH57" i="1" s="1"/>
  <c r="Q28" i="1"/>
  <c r="AI57" i="1" l="1"/>
  <c r="AJ57" i="1" s="1"/>
  <c r="AK57" i="1" s="1"/>
  <c r="AL57" i="1" s="1"/>
  <c r="R28" i="1"/>
  <c r="AM57" i="1" l="1"/>
  <c r="AN57" i="1" s="1"/>
  <c r="AO57" i="1" s="1"/>
  <c r="AP57" i="1" s="1"/>
  <c r="T28" i="1" s="1"/>
  <c r="S28" i="1"/>
  <c r="V28" i="1" l="1"/>
  <c r="U28" i="1"/>
  <c r="U30" i="1" l="1"/>
  <c r="C52" i="1" s="1"/>
  <c r="C53" i="1" s="1"/>
  <c r="C54" i="1" s="1"/>
  <c r="B12" i="1"/>
  <c r="B16" i="1" s="1"/>
  <c r="C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Rosenblatt</author>
  </authors>
  <commentList>
    <comment ref="B28" authorId="0" shapeId="0" xr:uid="{BEA2A833-C73D-4A47-8577-CC0EF5B1532C}">
      <text>
        <r>
          <rPr>
            <b/>
            <sz val="9"/>
            <color indexed="81"/>
            <rFont val="Tahoma"/>
            <family val="2"/>
          </rPr>
          <t xml:space="preserve">500 </t>
        </r>
        <r>
          <rPr>
            <sz val="9"/>
            <color indexed="81"/>
            <rFont val="Tahoma"/>
            <family val="2"/>
          </rPr>
          <t>NuBarrels.
Escalating price is based on a 3%/year increase.</t>
        </r>
      </text>
    </comment>
    <comment ref="G28" authorId="0" shapeId="0" xr:uid="{F9E021FE-7B45-4413-B62A-DC5D10828CAF}">
      <text>
        <r>
          <rPr>
            <b/>
            <sz val="9"/>
            <color indexed="81"/>
            <rFont val="Tahoma"/>
            <family val="2"/>
          </rPr>
          <t>Stephen Rosenblatt:</t>
        </r>
        <r>
          <rPr>
            <sz val="9"/>
            <color indexed="81"/>
            <rFont val="Tahoma"/>
            <family val="2"/>
          </rPr>
          <t xml:space="preserve">
500 Oak @ $1000 Includes steel racks and inflates 3%/year. Barrels average 4 years lifespan
</t>
        </r>
      </text>
    </comment>
    <comment ref="B29" authorId="0" shapeId="0" xr:uid="{C7B0BDB4-9A2F-42CC-8DEF-346F2296B83B}">
      <text>
        <r>
          <rPr>
            <sz val="9"/>
            <color indexed="81"/>
            <rFont val="Tahoma"/>
            <family val="2"/>
          </rPr>
          <t xml:space="preserve">NuBarrel =$8,000 estimated to last 40 - 50 years.
</t>
        </r>
      </text>
    </comment>
    <comment ref="B34" authorId="0" shapeId="0" xr:uid="{80BC798E-5EDA-4378-B17A-B94B8A41AE95}">
      <text>
        <r>
          <rPr>
            <b/>
            <sz val="9"/>
            <color indexed="81"/>
            <rFont val="Tahoma"/>
            <family val="2"/>
          </rPr>
          <t>Stephen Rosenblatt:</t>
        </r>
        <r>
          <rPr>
            <sz val="9"/>
            <color indexed="81"/>
            <rFont val="Tahoma"/>
            <family val="2"/>
          </rPr>
          <t xml:space="preserve">
Stacked 4 high in cave or conditioned space @$18/s.f.*
</t>
        </r>
      </text>
    </comment>
    <comment ref="G34" authorId="0" shapeId="0" xr:uid="{6FE11BC5-A975-4819-BE7E-6D4D10487EEE}">
      <text>
        <r>
          <rPr>
            <b/>
            <sz val="9"/>
            <color indexed="81"/>
            <rFont val="Tahoma"/>
            <family val="2"/>
          </rPr>
          <t>Stephen Rosenblatt:</t>
        </r>
        <r>
          <rPr>
            <sz val="9"/>
            <color indexed="81"/>
            <rFont val="Tahoma"/>
            <family val="2"/>
          </rPr>
          <t xml:space="preserve">
2*3(BARREL SIZE)=6s.f. Stacked 4 high =125 stacks *$6s.f.*18[cave or conditioned space]</t>
        </r>
      </text>
    </comment>
    <comment ref="B35" authorId="0" shapeId="0" xr:uid="{4FA18EFD-3A5F-4E34-9B16-B3422168CABD}">
      <text>
        <r>
          <rPr>
            <b/>
            <sz val="9"/>
            <color indexed="81"/>
            <rFont val="Tahoma"/>
            <family val="2"/>
          </rPr>
          <t xml:space="preserve">125 NuBarrels stacked 4 high= 32 stacks*25s.f.*$18
</t>
        </r>
      </text>
    </comment>
    <comment ref="U36" authorId="0" shapeId="0" xr:uid="{610FC4B4-D8D5-41CC-9808-B3F20AFE08C5}">
      <text>
        <r>
          <rPr>
            <b/>
            <sz val="9"/>
            <color indexed="81"/>
            <rFont val="Tahoma"/>
            <family val="2"/>
          </rPr>
          <t>Stephen Rosenblatt:</t>
        </r>
        <r>
          <rPr>
            <sz val="9"/>
            <color indexed="81"/>
            <rFont val="Tahoma"/>
            <family val="2"/>
          </rPr>
          <t xml:space="preserve">
43740/12 [NO OF BARRELS]</t>
        </r>
      </text>
    </comment>
    <comment ref="B40" authorId="0" shapeId="0" xr:uid="{7B4D32A5-BEAA-4382-B77B-974790369801}">
      <text>
        <r>
          <rPr>
            <sz val="9"/>
            <color indexed="81"/>
            <rFont val="Tahoma"/>
            <family val="2"/>
          </rPr>
          <t>Valus of wine ranges from $25/gal to $78.46 over a 40 year period.The average = $46.67/year
  Loss in oak =7% and assumes that wine ages 1 year in oak</t>
        </r>
      </text>
    </comment>
    <comment ref="B41" authorId="0" shapeId="0" xr:uid="{71113989-EEFC-469A-8FDC-CCFC707347AD}">
      <text>
        <r>
          <rPr>
            <b/>
            <sz val="9"/>
            <color indexed="81"/>
            <rFont val="Tahoma"/>
            <family val="2"/>
          </rPr>
          <t>Stephen Rosenblatt:</t>
        </r>
        <r>
          <rPr>
            <sz val="9"/>
            <color indexed="81"/>
            <rFont val="Tahoma"/>
            <family val="2"/>
          </rPr>
          <t xml:space="preserve">
.05% loss in concrete = $.175 - rounded to 18cents/ gallon
</t>
        </r>
      </text>
    </comment>
    <comment ref="B46" authorId="0" shapeId="0" xr:uid="{4FCDA355-AE8B-45CF-AD8A-50B4901C39CE}">
      <text>
        <r>
          <rPr>
            <b/>
            <sz val="9"/>
            <color indexed="81"/>
            <rFont val="Tahoma"/>
            <family val="2"/>
          </rPr>
          <t>Stephen Rosenblatt:</t>
        </r>
        <r>
          <rPr>
            <sz val="9"/>
            <color indexed="81"/>
            <rFont val="Tahoma"/>
            <family val="2"/>
          </rPr>
          <t xml:space="preserve">
LABOR RATE = $41.67 ranging from $20 to 63.37 in 40 ye ars at 2%/year.Employer cost added to this aaverage amount =$54.17</t>
        </r>
      </text>
    </comment>
    <comment ref="B47" authorId="0" shapeId="0" xr:uid="{A8EABC6C-EBC7-47D7-9306-1790FFEEEFF6}">
      <text>
        <r>
          <rPr>
            <b/>
            <sz val="9"/>
            <color indexed="81"/>
            <rFont val="Tahoma"/>
            <family val="2"/>
          </rPr>
          <t>Stephen Rosenblatt:</t>
        </r>
        <r>
          <rPr>
            <sz val="9"/>
            <color indexed="81"/>
            <rFont val="Tahoma"/>
            <family val="2"/>
          </rPr>
          <t xml:space="preserve">
Assume 2 hrs to install and 30 minutes to top and refill each year.</t>
        </r>
      </text>
    </comment>
    <comment ref="I48" authorId="0" shapeId="0" xr:uid="{1B85D8C8-5FF0-4928-82AA-E0910A93F39A}">
      <text>
        <r>
          <rPr>
            <b/>
            <sz val="9"/>
            <color indexed="81"/>
            <rFont val="Tahoma"/>
            <family val="2"/>
          </rPr>
          <t>Stephen Rosenblatt: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<sst xmlns="http://schemas.openxmlformats.org/spreadsheetml/2006/main" count="71" uniqueCount="47">
  <si>
    <t>OAK VERSUS CONCRETE BARREL STUDY</t>
  </si>
  <si>
    <t>SAVINGS WITH CONCRETE</t>
  </si>
  <si>
    <t xml:space="preserve"> </t>
  </si>
  <si>
    <t>SPACE COST:</t>
  </si>
  <si>
    <t>OAK</t>
  </si>
  <si>
    <t>CONCRETE</t>
  </si>
  <si>
    <t>PRODUCT LOSS:</t>
  </si>
  <si>
    <t>OAK LOSS</t>
  </si>
  <si>
    <t>SAVINGS</t>
  </si>
  <si>
    <t>TOTAL SAVINGS WITH CONCRETE</t>
  </si>
  <si>
    <t>TOTAL</t>
  </si>
  <si>
    <t xml:space="preserve">  </t>
  </si>
  <si>
    <t>CONCRETE LOSS</t>
  </si>
  <si>
    <t xml:space="preserve">LABOR COST: </t>
  </si>
  <si>
    <t>BARRELS</t>
  </si>
  <si>
    <t>Number</t>
  </si>
  <si>
    <t>Price per unit</t>
  </si>
  <si>
    <t>Sq ft per Unit</t>
  </si>
  <si>
    <t>Floor Space</t>
  </si>
  <si>
    <t>Cost pr Sq Ft</t>
  </si>
  <si>
    <t>CONCRETE (1 Nubarrel, 4 High)</t>
  </si>
  <si>
    <t>Cost per gallon</t>
  </si>
  <si>
    <t>Angels Share</t>
  </si>
  <si>
    <t>Total Gallons</t>
  </si>
  <si>
    <t>60 Gallon Oak Barrels</t>
  </si>
  <si>
    <t>240 Gallon Concrete Nubarrels</t>
  </si>
  <si>
    <t>Hourly Labor</t>
  </si>
  <si>
    <t>Annual hours</t>
  </si>
  <si>
    <t>Units High</t>
  </si>
  <si>
    <t>Year</t>
  </si>
  <si>
    <t>OAK (2 Barrels Wide)</t>
  </si>
  <si>
    <t>Oak vs Concrete Savings Calculator</t>
  </si>
  <si>
    <t>How many barrels do you purchase annually?</t>
  </si>
  <si>
    <t>Assuming your barrels are in stacks 2 across, how many barrels high do you stack?</t>
  </si>
  <si>
    <t>Barrel savings</t>
  </si>
  <si>
    <t>Storage Savings</t>
  </si>
  <si>
    <t>What % of your wine do you lose in barrels?</t>
  </si>
  <si>
    <t>What is your average cost per gallon of your wine?</t>
  </si>
  <si>
    <t>What is the annualized cost per sq ft of your barrel storage area?</t>
  </si>
  <si>
    <t>How much do you pay per barrel?</t>
  </si>
  <si>
    <t>How many labor hours do you spend per barrel annually (topping, turning, racking, etc)?</t>
  </si>
  <si>
    <t>What is the average of this labor cost per hour?</t>
  </si>
  <si>
    <t>Lost Wine Savings</t>
  </si>
  <si>
    <t>Labor Savings</t>
  </si>
  <si>
    <t>Total Savings</t>
  </si>
  <si>
    <t>A concrete Nubarrel lasts over 40 years, here's your savings over that time period.</t>
  </si>
  <si>
    <t>Enter your info in the blue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</si>
</sst>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&quot;$&quot;#,##0.00"/>
    <numFmt numFmtId="168" formatCode="_-&quot;$&quot;* #,##0_-;\-&quot;$&quot;* #,##0_-;_-&quot;$&quot;* &quot;-&quot;??_-;_-@_-"/>
    <numFmt numFmtId="169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2">
    <xf numFmtId="0" fontId="0" fillId="0" borderId="0" xfId="0"/>
    <xf numFmtId="167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168" fontId="0" fillId="2" borderId="1" xfId="1" applyNumberFormat="1" applyFont="1" applyFill="1" applyBorder="1"/>
    <xf numFmtId="168" fontId="0" fillId="2" borderId="1" xfId="0" applyNumberFormat="1" applyFill="1" applyBorder="1"/>
    <xf numFmtId="0" fontId="0" fillId="2" borderId="0" xfId="0" applyFill="1"/>
    <xf numFmtId="0" fontId="12" fillId="3" borderId="1" xfId="0" applyFont="1" applyFill="1" applyBorder="1" applyAlignment="1">
      <alignment horizontal="center"/>
    </xf>
    <xf numFmtId="168" fontId="12" fillId="3" borderId="1" xfId="1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8" fontId="11" fillId="3" borderId="1" xfId="1" applyNumberFormat="1" applyFont="1" applyFill="1" applyBorder="1"/>
    <xf numFmtId="3" fontId="11" fillId="3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0" fillId="2" borderId="5" xfId="0" applyFill="1" applyBorder="1"/>
    <xf numFmtId="166" fontId="1" fillId="2" borderId="5" xfId="0" applyNumberFormat="1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2" borderId="5" xfId="0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0" fontId="8" fillId="4" borderId="9" xfId="0" applyFont="1" applyFill="1" applyBorder="1"/>
    <xf numFmtId="0" fontId="7" fillId="4" borderId="10" xfId="0" applyFont="1" applyFill="1" applyBorder="1"/>
    <xf numFmtId="165" fontId="0" fillId="0" borderId="0" xfId="2" applyFont="1"/>
    <xf numFmtId="168" fontId="0" fillId="2" borderId="1" xfId="0" applyNumberForma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13" xfId="0" applyFill="1" applyBorder="1"/>
    <xf numFmtId="0" fontId="8" fillId="4" borderId="13" xfId="0" applyFont="1" applyFill="1" applyBorder="1"/>
    <xf numFmtId="0" fontId="14" fillId="2" borderId="1" xfId="0" applyFont="1" applyFill="1" applyBorder="1"/>
    <xf numFmtId="164" fontId="14" fillId="2" borderId="1" xfId="1" applyFont="1" applyFill="1" applyBorder="1"/>
    <xf numFmtId="166" fontId="14" fillId="2" borderId="1" xfId="0" applyNumberFormat="1" applyFont="1" applyFill="1" applyBorder="1"/>
    <xf numFmtId="10" fontId="5" fillId="2" borderId="1" xfId="0" applyNumberFormat="1" applyFont="1" applyFill="1" applyBorder="1"/>
    <xf numFmtId="168" fontId="0" fillId="0" borderId="0" xfId="0" applyNumberFormat="1"/>
    <xf numFmtId="44" fontId="0" fillId="0" borderId="0" xfId="0" applyNumberFormat="1"/>
    <xf numFmtId="0" fontId="0" fillId="2" borderId="1" xfId="0" applyFill="1" applyBorder="1"/>
    <xf numFmtId="0" fontId="1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14" fillId="5" borderId="1" xfId="0" applyFont="1" applyFill="1" applyBorder="1"/>
    <xf numFmtId="164" fontId="14" fillId="5" borderId="1" xfId="1" applyFont="1" applyFill="1" applyBorder="1"/>
    <xf numFmtId="0" fontId="5" fillId="5" borderId="1" xfId="0" applyFont="1" applyFill="1" applyBorder="1"/>
    <xf numFmtId="169" fontId="5" fillId="5" borderId="1" xfId="3" applyNumberFormat="1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0" fillId="2" borderId="14" xfId="0" applyFill="1" applyBorder="1"/>
    <xf numFmtId="0" fontId="0" fillId="2" borderId="20" xfId="0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5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0" xfId="0" applyFill="1" applyBorder="1"/>
    <xf numFmtId="0" fontId="0" fillId="6" borderId="0" xfId="0" applyFill="1" applyBorder="1"/>
    <xf numFmtId="168" fontId="0" fillId="7" borderId="0" xfId="1" applyNumberFormat="1" applyFont="1" applyFill="1" applyBorder="1" applyAlignment="1">
      <alignment horizontal="right"/>
    </xf>
    <xf numFmtId="168" fontId="0" fillId="7" borderId="0" xfId="0" applyNumberFormat="1" applyFill="1" applyBorder="1" applyAlignment="1">
      <alignment horizontal="right"/>
    </xf>
    <xf numFmtId="168" fontId="0" fillId="7" borderId="0" xfId="0" applyNumberFormat="1" applyFill="1" applyBorder="1"/>
    <xf numFmtId="0" fontId="0" fillId="9" borderId="0" xfId="0" applyFill="1" applyBorder="1" applyAlignment="1">
      <alignment horizontal="center" wrapText="1"/>
    </xf>
    <xf numFmtId="0" fontId="0" fillId="8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right"/>
    </xf>
    <xf numFmtId="168" fontId="0" fillId="5" borderId="1" xfId="1" applyNumberFormat="1" applyFont="1" applyFill="1" applyBorder="1" applyAlignment="1">
      <alignment horizontal="right"/>
    </xf>
    <xf numFmtId="164" fontId="0" fillId="5" borderId="1" xfId="1" applyFont="1" applyFill="1" applyBorder="1" applyAlignment="1">
      <alignment horizontal="righ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D55C-CAA6-4629-B26D-438E6CD9431C}">
  <sheetPr>
    <pageSetUpPr fitToPage="1"/>
  </sheetPr>
  <dimension ref="A1:CE58"/>
  <sheetViews>
    <sheetView tabSelected="1" zoomScaleNormal="100" workbookViewId="0">
      <selection activeCell="O7" sqref="O7"/>
    </sheetView>
  </sheetViews>
  <sheetFormatPr defaultRowHeight="15" x14ac:dyDescent="0.25"/>
  <cols>
    <col min="1" max="1" width="19.85546875" customWidth="1"/>
    <col min="2" max="2" width="14.85546875" customWidth="1"/>
    <col min="3" max="3" width="19" bestFit="1" customWidth="1"/>
    <col min="4" max="4" width="14.28515625" bestFit="1" customWidth="1"/>
    <col min="5" max="5" width="12.42578125" bestFit="1" customWidth="1"/>
    <col min="6" max="6" width="12.85546875" bestFit="1" customWidth="1"/>
    <col min="7" max="7" width="12" bestFit="1" customWidth="1"/>
    <col min="8" max="10" width="9.7109375" bestFit="1" customWidth="1"/>
    <col min="11" max="11" width="10.140625" bestFit="1" customWidth="1"/>
    <col min="12" max="15" width="10.42578125" bestFit="1" customWidth="1"/>
    <col min="16" max="20" width="12" bestFit="1" customWidth="1"/>
    <col min="21" max="21" width="13.28515625" bestFit="1" customWidth="1"/>
    <col min="22" max="22" width="14.85546875" bestFit="1" customWidth="1"/>
    <col min="23" max="45" width="9.7109375" bestFit="1" customWidth="1"/>
    <col min="46" max="47" width="10.28515625" bestFit="1" customWidth="1"/>
  </cols>
  <sheetData>
    <row r="1" spans="1:8" x14ac:dyDescent="0.25">
      <c r="A1" s="77" t="s">
        <v>31</v>
      </c>
      <c r="B1" s="77"/>
      <c r="C1" s="77"/>
      <c r="D1" s="77"/>
      <c r="E1" s="77"/>
      <c r="F1" s="77"/>
      <c r="G1" s="77"/>
      <c r="H1" s="77"/>
    </row>
    <row r="2" spans="1:8" x14ac:dyDescent="0.25">
      <c r="A2" s="77"/>
      <c r="B2" s="77"/>
      <c r="C2" s="77"/>
      <c r="D2" s="77"/>
      <c r="E2" s="77"/>
      <c r="F2" s="77"/>
      <c r="G2" s="77"/>
      <c r="H2" s="77"/>
    </row>
    <row r="3" spans="1:8" x14ac:dyDescent="0.25">
      <c r="A3" s="78" t="s">
        <v>46</v>
      </c>
      <c r="B3" s="79">
        <v>500</v>
      </c>
      <c r="C3" s="71" t="s">
        <v>32</v>
      </c>
      <c r="D3" s="71"/>
      <c r="E3" s="71"/>
      <c r="F3" s="71"/>
      <c r="G3" s="71"/>
      <c r="H3" s="71"/>
    </row>
    <row r="4" spans="1:8" x14ac:dyDescent="0.25">
      <c r="A4" s="78"/>
      <c r="B4" s="80">
        <v>1000</v>
      </c>
      <c r="C4" s="71" t="s">
        <v>39</v>
      </c>
      <c r="D4" s="71"/>
      <c r="E4" s="71"/>
      <c r="F4" s="71"/>
      <c r="G4" s="71"/>
      <c r="H4" s="71"/>
    </row>
    <row r="5" spans="1:8" x14ac:dyDescent="0.25">
      <c r="A5" s="78"/>
      <c r="B5" s="79">
        <v>6</v>
      </c>
      <c r="C5" s="71" t="s">
        <v>33</v>
      </c>
      <c r="D5" s="71"/>
      <c r="E5" s="71"/>
      <c r="F5" s="71"/>
      <c r="G5" s="71"/>
      <c r="H5" s="71"/>
    </row>
    <row r="6" spans="1:8" x14ac:dyDescent="0.25">
      <c r="A6" s="78"/>
      <c r="B6" s="81">
        <v>18</v>
      </c>
      <c r="C6" s="71" t="s">
        <v>38</v>
      </c>
      <c r="D6" s="71"/>
      <c r="E6" s="71"/>
      <c r="F6" s="71"/>
      <c r="G6" s="71"/>
      <c r="H6" s="71"/>
    </row>
    <row r="7" spans="1:8" x14ac:dyDescent="0.25">
      <c r="A7" s="78"/>
      <c r="B7" s="79">
        <v>2</v>
      </c>
      <c r="C7" s="71" t="s">
        <v>40</v>
      </c>
      <c r="D7" s="71"/>
      <c r="E7" s="71"/>
      <c r="F7" s="71"/>
      <c r="G7" s="71"/>
      <c r="H7" s="71"/>
    </row>
    <row r="8" spans="1:8" x14ac:dyDescent="0.25">
      <c r="A8" s="78"/>
      <c r="B8" s="79">
        <v>54</v>
      </c>
      <c r="C8" s="71" t="s">
        <v>41</v>
      </c>
      <c r="D8" s="71"/>
      <c r="E8" s="71"/>
      <c r="F8" s="71"/>
      <c r="G8" s="71"/>
      <c r="H8" s="71"/>
    </row>
    <row r="9" spans="1:8" x14ac:dyDescent="0.25">
      <c r="A9" s="78"/>
      <c r="B9" s="79">
        <v>7</v>
      </c>
      <c r="C9" s="71" t="s">
        <v>36</v>
      </c>
      <c r="D9" s="71"/>
      <c r="E9" s="71"/>
      <c r="F9" s="71"/>
      <c r="G9" s="71"/>
      <c r="H9" s="71"/>
    </row>
    <row r="10" spans="1:8" x14ac:dyDescent="0.25">
      <c r="A10" s="78"/>
      <c r="B10" s="79">
        <v>42</v>
      </c>
      <c r="C10" s="71" t="s">
        <v>37</v>
      </c>
      <c r="D10" s="71"/>
      <c r="E10" s="71"/>
      <c r="F10" s="71"/>
      <c r="G10" s="71"/>
      <c r="H10" s="71"/>
    </row>
    <row r="11" spans="1:8" ht="15" customHeight="1" x14ac:dyDescent="0.25">
      <c r="A11" s="76" t="s">
        <v>45</v>
      </c>
      <c r="B11" s="76"/>
      <c r="C11" s="76"/>
      <c r="D11" s="76"/>
      <c r="E11" s="76"/>
      <c r="F11" s="76"/>
      <c r="G11" s="76"/>
      <c r="H11" s="76"/>
    </row>
    <row r="12" spans="1:8" x14ac:dyDescent="0.25">
      <c r="A12" s="72"/>
      <c r="B12" s="73">
        <f>U28-U29</f>
        <v>9642489.0549432654</v>
      </c>
      <c r="C12" s="71" t="s">
        <v>34</v>
      </c>
      <c r="D12" s="71"/>
      <c r="E12" s="71"/>
      <c r="F12" s="71"/>
      <c r="G12" s="71"/>
      <c r="H12" s="71"/>
    </row>
    <row r="13" spans="1:8" x14ac:dyDescent="0.25">
      <c r="A13" s="72"/>
      <c r="B13" s="74">
        <f>U34-U35</f>
        <v>184254</v>
      </c>
      <c r="C13" s="71" t="s">
        <v>35</v>
      </c>
      <c r="D13" s="71"/>
      <c r="E13" s="71"/>
      <c r="F13" s="71"/>
      <c r="G13" s="71"/>
      <c r="H13" s="71"/>
    </row>
    <row r="14" spans="1:8" x14ac:dyDescent="0.25">
      <c r="A14" s="72"/>
      <c r="B14" s="74">
        <f>U40-U41</f>
        <v>3357900.0000000005</v>
      </c>
      <c r="C14" s="71" t="s">
        <v>42</v>
      </c>
      <c r="D14" s="71"/>
      <c r="E14" s="71"/>
      <c r="F14" s="71"/>
      <c r="G14" s="71"/>
      <c r="H14" s="71"/>
    </row>
    <row r="15" spans="1:8" x14ac:dyDescent="0.25">
      <c r="A15" s="72"/>
      <c r="B15" s="74">
        <f>U46-U47</f>
        <v>1937250</v>
      </c>
      <c r="C15" s="71" t="s">
        <v>43</v>
      </c>
      <c r="D15" s="71"/>
      <c r="E15" s="71"/>
      <c r="F15" s="71"/>
      <c r="G15" s="71"/>
      <c r="H15" s="71"/>
    </row>
    <row r="16" spans="1:8" x14ac:dyDescent="0.25">
      <c r="A16" s="72"/>
      <c r="B16" s="75">
        <f>SUM(B12:B15)</f>
        <v>15121893.054943265</v>
      </c>
      <c r="C16" s="71" t="s">
        <v>44</v>
      </c>
      <c r="D16" s="71"/>
      <c r="E16" s="71"/>
      <c r="F16" s="71"/>
      <c r="G16" s="71"/>
      <c r="H16" s="71"/>
    </row>
    <row r="18" spans="2:23" hidden="1" x14ac:dyDescent="0.25"/>
    <row r="19" spans="2:23" hidden="1" x14ac:dyDescent="0.25"/>
    <row r="20" spans="2:23" hidden="1" x14ac:dyDescent="0.25"/>
    <row r="21" spans="2:23" hidden="1" x14ac:dyDescent="0.25"/>
    <row r="22" spans="2:23" hidden="1" x14ac:dyDescent="0.25"/>
    <row r="23" spans="2:23" hidden="1" x14ac:dyDescent="0.25"/>
    <row r="24" spans="2:23" hidden="1" x14ac:dyDescent="0.25"/>
    <row r="25" spans="2:23" ht="29.1" hidden="1" customHeight="1" x14ac:dyDescent="0.25">
      <c r="B25" s="45" t="s">
        <v>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2:23" hidden="1" x14ac:dyDescent="0.25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2:23" hidden="1" x14ac:dyDescent="0.25">
      <c r="B27" s="38" t="s">
        <v>29</v>
      </c>
      <c r="C27" s="51"/>
      <c r="D27" s="52"/>
      <c r="E27" s="3" t="s">
        <v>15</v>
      </c>
      <c r="F27" s="36" t="s">
        <v>16</v>
      </c>
      <c r="G27" s="2">
        <v>1</v>
      </c>
      <c r="H27" s="2">
        <v>2</v>
      </c>
      <c r="I27" s="2">
        <v>3</v>
      </c>
      <c r="J27" s="2">
        <v>4</v>
      </c>
      <c r="K27" s="2">
        <v>5</v>
      </c>
      <c r="L27" s="2">
        <v>9</v>
      </c>
      <c r="M27" s="2">
        <v>13</v>
      </c>
      <c r="N27" s="2">
        <v>17</v>
      </c>
      <c r="O27" s="2">
        <v>21</v>
      </c>
      <c r="P27" s="2">
        <v>25</v>
      </c>
      <c r="Q27" s="2">
        <v>29</v>
      </c>
      <c r="R27" s="2">
        <v>33</v>
      </c>
      <c r="S27" s="2">
        <v>37</v>
      </c>
      <c r="T27" s="2">
        <v>41</v>
      </c>
      <c r="U27" s="3" t="s">
        <v>10</v>
      </c>
    </row>
    <row r="28" spans="2:23" ht="15.75" hidden="1" x14ac:dyDescent="0.25">
      <c r="B28" s="40" t="s">
        <v>24</v>
      </c>
      <c r="C28" s="53"/>
      <c r="D28" s="54"/>
      <c r="E28" s="41">
        <f>B3</f>
        <v>500</v>
      </c>
      <c r="F28" s="42">
        <f>B4</f>
        <v>1000</v>
      </c>
      <c r="G28" s="32">
        <f>B57*E28</f>
        <v>500000</v>
      </c>
      <c r="H28" s="32">
        <v>0</v>
      </c>
      <c r="I28" s="32">
        <v>0</v>
      </c>
      <c r="J28" s="32">
        <v>0</v>
      </c>
      <c r="K28" s="32">
        <f>F57*E28</f>
        <v>562754.40500000003</v>
      </c>
      <c r="L28" s="32">
        <f>J57*E28</f>
        <v>633385.04069380811</v>
      </c>
      <c r="M28" s="32">
        <f>N57*E28</f>
        <v>712880.44342308957</v>
      </c>
      <c r="N28" s="32">
        <f>R57*E28</f>
        <v>802353.21954939398</v>
      </c>
      <c r="O28" s="32">
        <f>V57*E28</f>
        <v>903055.61733470729</v>
      </c>
      <c r="P28" s="32">
        <f>Z57*E28</f>
        <v>1016397.0532302021</v>
      </c>
      <c r="Q28" s="32">
        <f>AD57*E28</f>
        <v>1143963.8378686314</v>
      </c>
      <c r="R28" s="32">
        <f>AH57*E28</f>
        <v>1287541.3778425565</v>
      </c>
      <c r="S28" s="32">
        <f>AL57*E28</f>
        <v>1449139.1640013363</v>
      </c>
      <c r="T28" s="32">
        <f>AP57*E28</f>
        <v>1631018.8959995389</v>
      </c>
      <c r="U28" s="32">
        <f>SUM(G28:T28)</f>
        <v>10642489.054943265</v>
      </c>
      <c r="V28" s="1">
        <f>E28*(B57+F57+J57+N57+R57+V57+Z57+AD57+AH57+AL57+AP57)</f>
        <v>10642489.054943264</v>
      </c>
    </row>
    <row r="29" spans="2:23" ht="15.75" hidden="1" x14ac:dyDescent="0.25">
      <c r="B29" s="40" t="s">
        <v>25</v>
      </c>
      <c r="C29" s="53"/>
      <c r="D29" s="54"/>
      <c r="E29" s="30">
        <f>E28/4</f>
        <v>125</v>
      </c>
      <c r="F29" s="31">
        <v>8000</v>
      </c>
      <c r="G29" s="32">
        <f>F29*E29</f>
        <v>1000000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f>SUM(G29:T29)</f>
        <v>1000000</v>
      </c>
    </row>
    <row r="30" spans="2:23" ht="15.75" hidden="1" thickBot="1" x14ac:dyDescent="0.3">
      <c r="B30" s="13" t="s">
        <v>1</v>
      </c>
      <c r="C30" s="55"/>
      <c r="D30" s="56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>
        <f>U28-U29</f>
        <v>9642489.0549432654</v>
      </c>
      <c r="V30" s="1" t="s">
        <v>2</v>
      </c>
    </row>
    <row r="31" spans="2:23" ht="4.5" hidden="1" customHeight="1" x14ac:dyDescent="0.25">
      <c r="B31" s="16" t="s">
        <v>5</v>
      </c>
      <c r="C31" s="28"/>
      <c r="D31" s="28"/>
      <c r="E31" s="28"/>
      <c r="F31" s="28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" t="s">
        <v>2</v>
      </c>
      <c r="W31" s="1"/>
    </row>
    <row r="32" spans="2:23" ht="21" hidden="1" x14ac:dyDescent="0.35">
      <c r="B32" s="49" t="s">
        <v>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1" t="s">
        <v>2</v>
      </c>
    </row>
    <row r="33" spans="2:24" hidden="1" x14ac:dyDescent="0.25">
      <c r="B33" s="38" t="s">
        <v>29</v>
      </c>
      <c r="C33" s="3" t="s">
        <v>17</v>
      </c>
      <c r="D33" s="3" t="s">
        <v>18</v>
      </c>
      <c r="E33" s="3" t="s">
        <v>28</v>
      </c>
      <c r="F33" s="3" t="s">
        <v>19</v>
      </c>
      <c r="G33" s="2">
        <v>1</v>
      </c>
      <c r="H33" s="2">
        <v>2</v>
      </c>
      <c r="I33" s="2">
        <v>3</v>
      </c>
      <c r="J33" s="2">
        <v>4</v>
      </c>
      <c r="K33" s="2">
        <v>5</v>
      </c>
      <c r="L33" s="2">
        <v>9</v>
      </c>
      <c r="M33" s="2">
        <v>13</v>
      </c>
      <c r="N33" s="2">
        <v>17</v>
      </c>
      <c r="O33" s="2">
        <v>21</v>
      </c>
      <c r="P33" s="2">
        <v>25</v>
      </c>
      <c r="Q33" s="2">
        <v>29</v>
      </c>
      <c r="R33" s="2">
        <v>33</v>
      </c>
      <c r="S33" s="2">
        <v>37</v>
      </c>
      <c r="T33" s="2">
        <v>41</v>
      </c>
      <c r="U33" s="3" t="s">
        <v>10</v>
      </c>
      <c r="V33" s="1" t="s">
        <v>2</v>
      </c>
    </row>
    <row r="34" spans="2:24" hidden="1" x14ac:dyDescent="0.25">
      <c r="B34" s="39" t="s">
        <v>30</v>
      </c>
      <c r="C34" s="4">
        <f>(3.08*2.5)*2</f>
        <v>15.4</v>
      </c>
      <c r="D34" s="4">
        <f>(C34)*(E28/(E34*2))</f>
        <v>641.66666666666663</v>
      </c>
      <c r="E34" s="43">
        <v>6</v>
      </c>
      <c r="F34" s="43">
        <v>18</v>
      </c>
      <c r="G34" s="5">
        <f>F34*D34</f>
        <v>11550</v>
      </c>
      <c r="H34" s="5">
        <f>G34</f>
        <v>11550</v>
      </c>
      <c r="I34" s="5">
        <f>H34</f>
        <v>11550</v>
      </c>
      <c r="J34" s="5">
        <f>I34</f>
        <v>11550</v>
      </c>
      <c r="K34" s="5">
        <f>J34</f>
        <v>11550</v>
      </c>
      <c r="L34" s="5">
        <f>K34*4</f>
        <v>46200</v>
      </c>
      <c r="M34" s="5">
        <f t="shared" ref="M34:T34" si="0">$L$34</f>
        <v>46200</v>
      </c>
      <c r="N34" s="5">
        <f t="shared" si="0"/>
        <v>46200</v>
      </c>
      <c r="O34" s="5">
        <f t="shared" si="0"/>
        <v>46200</v>
      </c>
      <c r="P34" s="5">
        <f t="shared" si="0"/>
        <v>46200</v>
      </c>
      <c r="Q34" s="5">
        <f t="shared" si="0"/>
        <v>46200</v>
      </c>
      <c r="R34" s="5">
        <f t="shared" si="0"/>
        <v>46200</v>
      </c>
      <c r="S34" s="5">
        <f t="shared" si="0"/>
        <v>46200</v>
      </c>
      <c r="T34" s="5">
        <f t="shared" si="0"/>
        <v>46200</v>
      </c>
      <c r="U34" s="5">
        <f>SUM(G34:T34)</f>
        <v>473550</v>
      </c>
      <c r="V34" s="35">
        <f>J34*41</f>
        <v>473550</v>
      </c>
      <c r="W34" t="s">
        <v>2</v>
      </c>
    </row>
    <row r="35" spans="2:24" hidden="1" x14ac:dyDescent="0.25">
      <c r="B35" s="39" t="s">
        <v>20</v>
      </c>
      <c r="C35" s="4">
        <f>3.5*3.5</f>
        <v>12.25</v>
      </c>
      <c r="D35" s="4">
        <f>ROUNDUP((E29/E35),0)*C35</f>
        <v>392</v>
      </c>
      <c r="E35" s="4">
        <v>4</v>
      </c>
      <c r="F35" s="4">
        <f>F34</f>
        <v>18</v>
      </c>
      <c r="G35" s="5">
        <f>D35*F35</f>
        <v>7056</v>
      </c>
      <c r="H35" s="5">
        <f>G35</f>
        <v>7056</v>
      </c>
      <c r="I35" s="5">
        <f t="shared" ref="I35:K35" si="1">H35</f>
        <v>7056</v>
      </c>
      <c r="J35" s="5">
        <f t="shared" si="1"/>
        <v>7056</v>
      </c>
      <c r="K35" s="5">
        <f t="shared" si="1"/>
        <v>7056</v>
      </c>
      <c r="L35" s="5">
        <f>K35*4</f>
        <v>28224</v>
      </c>
      <c r="M35" s="5">
        <f t="shared" ref="M35:T35" si="2">$L$35</f>
        <v>28224</v>
      </c>
      <c r="N35" s="5">
        <f t="shared" si="2"/>
        <v>28224</v>
      </c>
      <c r="O35" s="5">
        <f t="shared" si="2"/>
        <v>28224</v>
      </c>
      <c r="P35" s="5">
        <f t="shared" si="2"/>
        <v>28224</v>
      </c>
      <c r="Q35" s="5">
        <f t="shared" si="2"/>
        <v>28224</v>
      </c>
      <c r="R35" s="5">
        <f t="shared" si="2"/>
        <v>28224</v>
      </c>
      <c r="S35" s="5">
        <f t="shared" si="2"/>
        <v>28224</v>
      </c>
      <c r="T35" s="5">
        <f t="shared" si="2"/>
        <v>28224</v>
      </c>
      <c r="U35" s="5">
        <f>SUM(G35:T35)</f>
        <v>289296</v>
      </c>
      <c r="V35" s="34">
        <f>J35*41</f>
        <v>289296</v>
      </c>
    </row>
    <row r="36" spans="2:24" hidden="1" x14ac:dyDescent="0.25">
      <c r="B36" s="13" t="s">
        <v>1</v>
      </c>
      <c r="C36" s="13"/>
      <c r="D36" s="13"/>
      <c r="E36" s="13"/>
      <c r="F36" s="13"/>
      <c r="G36" s="14"/>
      <c r="H36" s="14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9" t="s">
        <v>2</v>
      </c>
      <c r="U36" s="15">
        <f>U34-U35</f>
        <v>184254</v>
      </c>
    </row>
    <row r="37" spans="2:24" ht="6" hidden="1" customHeight="1" x14ac:dyDescent="0.25">
      <c r="B37" s="20"/>
      <c r="C37" s="29"/>
      <c r="D37" s="29"/>
      <c r="E37" s="29"/>
      <c r="F37" s="29"/>
      <c r="G37" s="29"/>
      <c r="H37" s="21">
        <v>6758.75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2:24" ht="21" hidden="1" x14ac:dyDescent="0.35">
      <c r="B38" s="49" t="s">
        <v>6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X38" t="s">
        <v>11</v>
      </c>
    </row>
    <row r="39" spans="2:24" hidden="1" x14ac:dyDescent="0.25">
      <c r="B39" s="38" t="s">
        <v>29</v>
      </c>
      <c r="C39" s="57"/>
      <c r="D39" s="3" t="s">
        <v>21</v>
      </c>
      <c r="E39" s="3" t="s">
        <v>22</v>
      </c>
      <c r="F39" s="3" t="s">
        <v>23</v>
      </c>
      <c r="G39" s="2">
        <v>1</v>
      </c>
      <c r="H39" s="2">
        <v>2</v>
      </c>
      <c r="I39" s="2">
        <v>3</v>
      </c>
      <c r="J39" s="2">
        <v>4</v>
      </c>
      <c r="K39" s="2">
        <v>5</v>
      </c>
      <c r="L39" s="2">
        <v>9</v>
      </c>
      <c r="M39" s="2">
        <v>13</v>
      </c>
      <c r="N39" s="2">
        <v>17</v>
      </c>
      <c r="O39" s="2">
        <v>21</v>
      </c>
      <c r="P39" s="2">
        <v>25</v>
      </c>
      <c r="Q39" s="2">
        <v>29</v>
      </c>
      <c r="R39" s="2">
        <v>33</v>
      </c>
      <c r="S39" s="2">
        <v>37</v>
      </c>
      <c r="T39" s="2">
        <v>41</v>
      </c>
      <c r="U39" s="3" t="s">
        <v>10</v>
      </c>
      <c r="W39" t="s">
        <v>2</v>
      </c>
    </row>
    <row r="40" spans="2:24" hidden="1" x14ac:dyDescent="0.25">
      <c r="B40" s="39" t="s">
        <v>7</v>
      </c>
      <c r="C40" s="58"/>
      <c r="D40" s="43">
        <f>B10</f>
        <v>42</v>
      </c>
      <c r="E40" s="44">
        <f>B9/100</f>
        <v>7.0000000000000007E-2</v>
      </c>
      <c r="F40" s="4">
        <f>E28*60</f>
        <v>30000</v>
      </c>
      <c r="G40" s="5">
        <f>(D40*F40)*E40</f>
        <v>88200.000000000015</v>
      </c>
      <c r="H40" s="5">
        <f>G40</f>
        <v>88200.000000000015</v>
      </c>
      <c r="I40" s="5">
        <f t="shared" ref="I40:K40" si="3">H40</f>
        <v>88200.000000000015</v>
      </c>
      <c r="J40" s="5">
        <f t="shared" si="3"/>
        <v>88200.000000000015</v>
      </c>
      <c r="K40" s="5">
        <f t="shared" si="3"/>
        <v>88200.000000000015</v>
      </c>
      <c r="L40" s="5">
        <f>K40*4</f>
        <v>352800.00000000006</v>
      </c>
      <c r="M40" s="5">
        <f t="shared" ref="M40:T40" si="4">$L$40</f>
        <v>352800.00000000006</v>
      </c>
      <c r="N40" s="5">
        <f t="shared" si="4"/>
        <v>352800.00000000006</v>
      </c>
      <c r="O40" s="5">
        <f t="shared" si="4"/>
        <v>352800.00000000006</v>
      </c>
      <c r="P40" s="5">
        <f t="shared" si="4"/>
        <v>352800.00000000006</v>
      </c>
      <c r="Q40" s="5">
        <f t="shared" si="4"/>
        <v>352800.00000000006</v>
      </c>
      <c r="R40" s="5">
        <f t="shared" si="4"/>
        <v>352800.00000000006</v>
      </c>
      <c r="S40" s="5">
        <f t="shared" si="4"/>
        <v>352800.00000000006</v>
      </c>
      <c r="T40" s="5">
        <f t="shared" si="4"/>
        <v>352800.00000000006</v>
      </c>
      <c r="U40" s="6">
        <f>SUM(G40:T40)</f>
        <v>3616200.0000000005</v>
      </c>
      <c r="V40" s="34">
        <f>G40*41</f>
        <v>3616200.0000000005</v>
      </c>
    </row>
    <row r="41" spans="2:24" hidden="1" x14ac:dyDescent="0.25">
      <c r="B41" s="39" t="s">
        <v>12</v>
      </c>
      <c r="C41" s="58"/>
      <c r="D41" s="4">
        <f>D40</f>
        <v>42</v>
      </c>
      <c r="E41" s="33">
        <v>5.0000000000000001E-3</v>
      </c>
      <c r="F41" s="4">
        <f>E29*240</f>
        <v>30000</v>
      </c>
      <c r="G41" s="5">
        <f>(D41*F41)*E41</f>
        <v>6300</v>
      </c>
      <c r="H41" s="5">
        <f>G41</f>
        <v>6300</v>
      </c>
      <c r="I41" s="5">
        <f t="shared" ref="I41:K41" si="5">H41</f>
        <v>6300</v>
      </c>
      <c r="J41" s="5">
        <f t="shared" si="5"/>
        <v>6300</v>
      </c>
      <c r="K41" s="5">
        <f t="shared" si="5"/>
        <v>6300</v>
      </c>
      <c r="L41" s="6">
        <f>K41*4</f>
        <v>25200</v>
      </c>
      <c r="M41" s="5">
        <f t="shared" ref="M41:T41" si="6">$L$41</f>
        <v>25200</v>
      </c>
      <c r="N41" s="5">
        <f t="shared" si="6"/>
        <v>25200</v>
      </c>
      <c r="O41" s="5">
        <f t="shared" si="6"/>
        <v>25200</v>
      </c>
      <c r="P41" s="5">
        <f t="shared" si="6"/>
        <v>25200</v>
      </c>
      <c r="Q41" s="5">
        <f t="shared" si="6"/>
        <v>25200</v>
      </c>
      <c r="R41" s="5">
        <f t="shared" si="6"/>
        <v>25200</v>
      </c>
      <c r="S41" s="5">
        <f t="shared" si="6"/>
        <v>25200</v>
      </c>
      <c r="T41" s="5">
        <f t="shared" si="6"/>
        <v>25200</v>
      </c>
      <c r="U41" s="6">
        <f>SUM(G41:T41)</f>
        <v>258300</v>
      </c>
      <c r="V41" s="35">
        <f>G41*41</f>
        <v>258300</v>
      </c>
      <c r="W41" s="22"/>
    </row>
    <row r="42" spans="2:24" ht="15.75" hidden="1" thickBot="1" x14ac:dyDescent="0.3">
      <c r="B42" s="13" t="s">
        <v>1</v>
      </c>
      <c r="C42" s="59"/>
      <c r="D42" s="13"/>
      <c r="E42" s="13"/>
      <c r="F42" s="13"/>
      <c r="G42" s="14"/>
      <c r="H42" s="14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9" t="s">
        <v>2</v>
      </c>
      <c r="U42" s="15">
        <f>U40-U41</f>
        <v>3357900.0000000005</v>
      </c>
    </row>
    <row r="43" spans="2:24" ht="6" hidden="1" customHeight="1" x14ac:dyDescent="0.25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70"/>
    </row>
    <row r="44" spans="2:24" ht="21" hidden="1" x14ac:dyDescent="0.35">
      <c r="B44" s="49" t="s">
        <v>13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X44" s="25"/>
    </row>
    <row r="45" spans="2:24" hidden="1" x14ac:dyDescent="0.25">
      <c r="B45" s="38" t="s">
        <v>29</v>
      </c>
      <c r="C45" s="60"/>
      <c r="D45" s="61"/>
      <c r="E45" s="3" t="s">
        <v>26</v>
      </c>
      <c r="F45" s="3" t="s">
        <v>27</v>
      </c>
      <c r="G45" s="2">
        <v>1</v>
      </c>
      <c r="H45" s="2">
        <v>2</v>
      </c>
      <c r="I45" s="2">
        <v>3</v>
      </c>
      <c r="J45" s="2">
        <v>4</v>
      </c>
      <c r="K45" s="2">
        <v>5</v>
      </c>
      <c r="L45" s="2">
        <v>9</v>
      </c>
      <c r="M45" s="2">
        <v>13</v>
      </c>
      <c r="N45" s="2">
        <v>17</v>
      </c>
      <c r="O45" s="2">
        <v>21</v>
      </c>
      <c r="P45" s="2">
        <v>25</v>
      </c>
      <c r="Q45" s="2">
        <v>29</v>
      </c>
      <c r="R45" s="2">
        <v>33</v>
      </c>
      <c r="S45" s="2">
        <v>37</v>
      </c>
      <c r="T45" s="2">
        <v>41</v>
      </c>
      <c r="U45" s="3" t="s">
        <v>10</v>
      </c>
    </row>
    <row r="46" spans="2:24" hidden="1" x14ac:dyDescent="0.25">
      <c r="B46" s="39" t="s">
        <v>4</v>
      </c>
      <c r="C46" s="62"/>
      <c r="D46" s="63"/>
      <c r="E46" s="43">
        <f>B8</f>
        <v>54</v>
      </c>
      <c r="F46" s="43">
        <f>B7</f>
        <v>2</v>
      </c>
      <c r="G46" s="5">
        <f>F46*E46*E28</f>
        <v>54000</v>
      </c>
      <c r="H46" s="5">
        <f>G46</f>
        <v>54000</v>
      </c>
      <c r="I46" s="5">
        <f t="shared" ref="I46:K46" si="7">H46</f>
        <v>54000</v>
      </c>
      <c r="J46" s="5">
        <f t="shared" si="7"/>
        <v>54000</v>
      </c>
      <c r="K46" s="5">
        <f t="shared" si="7"/>
        <v>54000</v>
      </c>
      <c r="L46" s="5">
        <f>K46*4</f>
        <v>216000</v>
      </c>
      <c r="M46" s="5">
        <f>$L$46</f>
        <v>216000</v>
      </c>
      <c r="N46" s="5">
        <f t="shared" ref="N46:T46" si="8">$L$46</f>
        <v>216000</v>
      </c>
      <c r="O46" s="5">
        <f t="shared" si="8"/>
        <v>216000</v>
      </c>
      <c r="P46" s="5">
        <f t="shared" si="8"/>
        <v>216000</v>
      </c>
      <c r="Q46" s="5">
        <f t="shared" si="8"/>
        <v>216000</v>
      </c>
      <c r="R46" s="5">
        <f t="shared" si="8"/>
        <v>216000</v>
      </c>
      <c r="S46" s="5">
        <f t="shared" si="8"/>
        <v>216000</v>
      </c>
      <c r="T46" s="5">
        <f t="shared" si="8"/>
        <v>216000</v>
      </c>
      <c r="U46" s="23">
        <f>SUM(G46:T46)</f>
        <v>2214000</v>
      </c>
      <c r="V46" s="35">
        <f>G46*41</f>
        <v>2214000</v>
      </c>
    </row>
    <row r="47" spans="2:24" hidden="1" x14ac:dyDescent="0.25">
      <c r="B47" s="39" t="s">
        <v>5</v>
      </c>
      <c r="C47" s="64"/>
      <c r="D47" s="65"/>
      <c r="E47" s="4">
        <f>E46</f>
        <v>54</v>
      </c>
      <c r="F47" s="4">
        <v>1</v>
      </c>
      <c r="G47" s="5">
        <f>E47*F47*E29</f>
        <v>6750</v>
      </c>
      <c r="H47" s="5">
        <f>G47</f>
        <v>6750</v>
      </c>
      <c r="I47" s="5">
        <f t="shared" ref="I47:K47" si="9">H47</f>
        <v>6750</v>
      </c>
      <c r="J47" s="5">
        <f t="shared" si="9"/>
        <v>6750</v>
      </c>
      <c r="K47" s="5">
        <f t="shared" si="9"/>
        <v>6750</v>
      </c>
      <c r="L47" s="5">
        <f>K47*4</f>
        <v>27000</v>
      </c>
      <c r="M47" s="5">
        <f>$L$47</f>
        <v>27000</v>
      </c>
      <c r="N47" s="5">
        <f t="shared" ref="N47:T47" si="10">$L$47</f>
        <v>27000</v>
      </c>
      <c r="O47" s="5">
        <f t="shared" si="10"/>
        <v>27000</v>
      </c>
      <c r="P47" s="5">
        <f t="shared" si="10"/>
        <v>27000</v>
      </c>
      <c r="Q47" s="5">
        <f t="shared" si="10"/>
        <v>27000</v>
      </c>
      <c r="R47" s="5">
        <f t="shared" si="10"/>
        <v>27000</v>
      </c>
      <c r="S47" s="5">
        <f t="shared" si="10"/>
        <v>27000</v>
      </c>
      <c r="T47" s="5">
        <f t="shared" si="10"/>
        <v>27000</v>
      </c>
      <c r="U47" s="23">
        <f>SUM(G47:T47)</f>
        <v>276750</v>
      </c>
      <c r="V47" s="35">
        <f>G47*41</f>
        <v>276750</v>
      </c>
    </row>
    <row r="48" spans="2:24" hidden="1" x14ac:dyDescent="0.25">
      <c r="B48" s="26" t="s">
        <v>1</v>
      </c>
      <c r="C48" s="37"/>
      <c r="D48" s="37"/>
      <c r="E48" s="37"/>
      <c r="F48" s="37"/>
      <c r="G48" s="37"/>
      <c r="H48" s="27"/>
      <c r="I48" s="6" t="s">
        <v>2</v>
      </c>
      <c r="J48" s="6" t="s">
        <v>2</v>
      </c>
      <c r="K48" s="6" t="s">
        <v>2</v>
      </c>
      <c r="L48" s="6" t="s">
        <v>2</v>
      </c>
      <c r="M48" s="6" t="s">
        <v>2</v>
      </c>
      <c r="N48" s="6"/>
      <c r="O48" s="6"/>
      <c r="P48" s="6"/>
      <c r="Q48" s="6" t="s">
        <v>2</v>
      </c>
      <c r="R48" s="6"/>
      <c r="S48" s="6"/>
      <c r="T48" s="6"/>
      <c r="U48" s="24">
        <f>U46-U47</f>
        <v>1937250</v>
      </c>
    </row>
    <row r="49" spans="2:83" hidden="1" x14ac:dyDescent="0.25">
      <c r="B49" s="66" t="s">
        <v>9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2:83" ht="15.75" hidden="1" x14ac:dyDescent="0.25">
      <c r="B50" s="8" t="s">
        <v>14</v>
      </c>
      <c r="C50" s="9" t="s">
        <v>8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 t="s">
        <v>2</v>
      </c>
      <c r="P50" s="7"/>
      <c r="Q50" s="7"/>
      <c r="R50" s="7"/>
      <c r="S50" s="7"/>
      <c r="T50" s="7"/>
      <c r="U50" s="7"/>
    </row>
    <row r="51" spans="2:83" ht="18.75" hidden="1" x14ac:dyDescent="0.3">
      <c r="B51" s="10">
        <v>100</v>
      </c>
      <c r="C51" s="11">
        <f>C52/5</f>
        <v>3024378.6109886533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2:83" ht="18.75" hidden="1" x14ac:dyDescent="0.3">
      <c r="B52" s="10">
        <v>500</v>
      </c>
      <c r="C52" s="11">
        <f>U30+U36+U42+U48</f>
        <v>15121893.054943265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2:83" ht="18.75" hidden="1" x14ac:dyDescent="0.3">
      <c r="B53" s="10">
        <v>1000</v>
      </c>
      <c r="C53" s="11">
        <f>C52*2</f>
        <v>30243786.109886531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2:83" ht="18.75" hidden="1" x14ac:dyDescent="0.3">
      <c r="B54" s="12">
        <v>10000</v>
      </c>
      <c r="C54" s="11">
        <f>C53*10</f>
        <v>302437861.09886533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2:83" hidden="1" x14ac:dyDescent="0.25"/>
    <row r="56" spans="2:83" hidden="1" x14ac:dyDescent="0.25">
      <c r="B56">
        <v>1</v>
      </c>
      <c r="C56">
        <v>2</v>
      </c>
      <c r="D56">
        <v>3</v>
      </c>
      <c r="E56">
        <v>4</v>
      </c>
      <c r="F56">
        <v>5</v>
      </c>
      <c r="G56">
        <v>6</v>
      </c>
      <c r="H56">
        <v>7</v>
      </c>
      <c r="I56">
        <v>8</v>
      </c>
      <c r="J56">
        <v>9</v>
      </c>
      <c r="K56">
        <v>10</v>
      </c>
      <c r="L56">
        <v>11</v>
      </c>
      <c r="M56">
        <v>12</v>
      </c>
      <c r="N56">
        <v>13</v>
      </c>
      <c r="O56">
        <v>14</v>
      </c>
      <c r="P56">
        <v>15</v>
      </c>
      <c r="Q56">
        <v>16</v>
      </c>
      <c r="R56">
        <v>17</v>
      </c>
      <c r="S56">
        <v>18</v>
      </c>
      <c r="T56">
        <v>19</v>
      </c>
      <c r="U56">
        <v>20</v>
      </c>
      <c r="V56">
        <v>21</v>
      </c>
      <c r="W56">
        <v>22</v>
      </c>
      <c r="X56">
        <v>23</v>
      </c>
      <c r="Y56">
        <v>24</v>
      </c>
      <c r="Z56">
        <v>25</v>
      </c>
      <c r="AA56">
        <v>26</v>
      </c>
      <c r="AB56">
        <v>27</v>
      </c>
      <c r="AC56">
        <v>28</v>
      </c>
      <c r="AD56">
        <v>29</v>
      </c>
      <c r="AE56">
        <v>30</v>
      </c>
      <c r="AF56">
        <v>31</v>
      </c>
      <c r="AG56">
        <v>32</v>
      </c>
      <c r="AH56">
        <v>33</v>
      </c>
      <c r="AI56">
        <v>34</v>
      </c>
      <c r="AJ56">
        <v>35</v>
      </c>
      <c r="AK56">
        <v>36</v>
      </c>
      <c r="AL56">
        <v>37</v>
      </c>
      <c r="AM56">
        <v>38</v>
      </c>
      <c r="AN56">
        <v>39</v>
      </c>
      <c r="AO56">
        <v>40</v>
      </c>
      <c r="AP56">
        <v>41</v>
      </c>
    </row>
    <row r="57" spans="2:83" hidden="1" x14ac:dyDescent="0.25">
      <c r="B57" s="1">
        <f>F28</f>
        <v>1000</v>
      </c>
      <c r="C57" s="1">
        <f>B57*1.03</f>
        <v>1030</v>
      </c>
      <c r="D57" s="1">
        <f t="shared" ref="D57" si="11">C57*1.03</f>
        <v>1060.9000000000001</v>
      </c>
      <c r="E57" s="1">
        <f t="shared" ref="E57:AP57" si="12">D57*1.03</f>
        <v>1092.7270000000001</v>
      </c>
      <c r="F57" s="1">
        <f t="shared" si="12"/>
        <v>1125.50881</v>
      </c>
      <c r="G57" s="1">
        <f t="shared" si="12"/>
        <v>1159.2740743000002</v>
      </c>
      <c r="H57" s="1">
        <f t="shared" si="12"/>
        <v>1194.0522965290002</v>
      </c>
      <c r="I57" s="1">
        <f t="shared" si="12"/>
        <v>1229.8738654248702</v>
      </c>
      <c r="J57" s="1">
        <f t="shared" si="12"/>
        <v>1266.7700813876163</v>
      </c>
      <c r="K57" s="1">
        <f t="shared" si="12"/>
        <v>1304.7731838292448</v>
      </c>
      <c r="L57" s="1">
        <f t="shared" si="12"/>
        <v>1343.9163793441221</v>
      </c>
      <c r="M57" s="1">
        <f t="shared" si="12"/>
        <v>1384.2338707244458</v>
      </c>
      <c r="N57" s="1">
        <f t="shared" si="12"/>
        <v>1425.7608868461791</v>
      </c>
      <c r="O57" s="1">
        <f t="shared" si="12"/>
        <v>1468.5337134515646</v>
      </c>
      <c r="P57" s="1">
        <f t="shared" si="12"/>
        <v>1512.5897248551116</v>
      </c>
      <c r="Q57" s="1">
        <f t="shared" si="12"/>
        <v>1557.9674166007651</v>
      </c>
      <c r="R57" s="1">
        <f t="shared" si="12"/>
        <v>1604.706439098788</v>
      </c>
      <c r="S57" s="1">
        <f t="shared" si="12"/>
        <v>1652.8476322717518</v>
      </c>
      <c r="T57" s="1">
        <f t="shared" si="12"/>
        <v>1702.4330612399044</v>
      </c>
      <c r="U57" s="1">
        <f t="shared" si="12"/>
        <v>1753.5060530771016</v>
      </c>
      <c r="V57" s="1">
        <f t="shared" si="12"/>
        <v>1806.1112346694147</v>
      </c>
      <c r="W57" s="1">
        <f t="shared" si="12"/>
        <v>1860.2945717094972</v>
      </c>
      <c r="X57" s="1">
        <f t="shared" si="12"/>
        <v>1916.1034088607821</v>
      </c>
      <c r="Y57" s="1">
        <f t="shared" si="12"/>
        <v>1973.5865111266057</v>
      </c>
      <c r="Z57" s="1">
        <f t="shared" si="12"/>
        <v>2032.794106460404</v>
      </c>
      <c r="AA57" s="1">
        <f t="shared" si="12"/>
        <v>2093.7779296542162</v>
      </c>
      <c r="AB57" s="1">
        <f t="shared" si="12"/>
        <v>2156.5912675438426</v>
      </c>
      <c r="AC57" s="1">
        <f t="shared" si="12"/>
        <v>2221.2890055701578</v>
      </c>
      <c r="AD57" s="1">
        <f t="shared" si="12"/>
        <v>2287.9276757372627</v>
      </c>
      <c r="AE57" s="1">
        <f t="shared" si="12"/>
        <v>2356.5655060093804</v>
      </c>
      <c r="AF57" s="1">
        <f t="shared" si="12"/>
        <v>2427.2624711896619</v>
      </c>
      <c r="AG57" s="1">
        <f t="shared" si="12"/>
        <v>2500.080345325352</v>
      </c>
      <c r="AH57" s="1">
        <f t="shared" si="12"/>
        <v>2575.0827556851127</v>
      </c>
      <c r="AI57" s="1">
        <f t="shared" si="12"/>
        <v>2652.3352383556662</v>
      </c>
      <c r="AJ57" s="1">
        <f t="shared" si="12"/>
        <v>2731.9052955063362</v>
      </c>
      <c r="AK57" s="1">
        <f t="shared" si="12"/>
        <v>2813.8624543715264</v>
      </c>
      <c r="AL57" s="1">
        <f t="shared" si="12"/>
        <v>2898.2783280026724</v>
      </c>
      <c r="AM57" s="1">
        <f t="shared" si="12"/>
        <v>2985.2266778427525</v>
      </c>
      <c r="AN57" s="1">
        <f t="shared" si="12"/>
        <v>3074.7834781780352</v>
      </c>
      <c r="AO57" s="1">
        <f t="shared" si="12"/>
        <v>3167.0269825233763</v>
      </c>
      <c r="AP57" s="1">
        <f t="shared" si="12"/>
        <v>3262.0377919990779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2:83" hidden="1" x14ac:dyDescent="0.25"/>
  </sheetData>
  <mergeCells count="12">
    <mergeCell ref="A11:H11"/>
    <mergeCell ref="A1:H2"/>
    <mergeCell ref="A3:A10"/>
    <mergeCell ref="B49:U49"/>
    <mergeCell ref="B43:U43"/>
    <mergeCell ref="B44:U44"/>
    <mergeCell ref="B38:U38"/>
    <mergeCell ref="B25:U26"/>
    <mergeCell ref="B32:U32"/>
    <mergeCell ref="C27:D30"/>
    <mergeCell ref="C39:C42"/>
    <mergeCell ref="C45:D47"/>
  </mergeCells>
  <pageMargins left="0.25" right="0.25" top="0.75" bottom="0.75" header="0.3" footer="0.3"/>
  <pageSetup scale="2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Savings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George Ghilarducci</cp:lastModifiedBy>
  <cp:lastPrinted>2024-01-31T22:34:08Z</cp:lastPrinted>
  <dcterms:created xsi:type="dcterms:W3CDTF">2024-01-29T20:32:14Z</dcterms:created>
  <dcterms:modified xsi:type="dcterms:W3CDTF">2024-03-09T00:07:12Z</dcterms:modified>
</cp:coreProperties>
</file>